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wnloads\london de - Agosto 2025\"/>
    </mc:Choice>
  </mc:AlternateContent>
  <xr:revisionPtr revIDLastSave="0" documentId="8_{EA9A52BD-6E4B-42A3-BA38-9B2580C13E6F}" xr6:coauthVersionLast="47" xr6:coauthVersionMax="47" xr10:uidLastSave="{00000000-0000-0000-0000-000000000000}"/>
  <bookViews>
    <workbookView xWindow="1500" yWindow="1500" windowWidth="12564" windowHeight="9792" xr2:uid="{B14EB2AE-690D-4048-AACB-35A5534BC367}"/>
  </bookViews>
  <sheets>
    <sheet name="Valuation " sheetId="1" r:id="rId1"/>
    <sheet name="Gold Production " sheetId="3" r:id="rId2"/>
    <sheet name="Shares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3" l="1"/>
  <c r="N6" i="3"/>
  <c r="F17" i="3"/>
  <c r="G17" i="3" s="1"/>
  <c r="H17" i="3" s="1"/>
  <c r="I17" i="3" s="1"/>
  <c r="E17" i="3"/>
  <c r="E16" i="3"/>
  <c r="F16" i="3" s="1"/>
  <c r="G16" i="3" s="1"/>
  <c r="H16" i="3" s="1"/>
  <c r="I16" i="3" s="1"/>
  <c r="E15" i="3"/>
  <c r="F15" i="3" s="1"/>
  <c r="G15" i="3" s="1"/>
  <c r="H15" i="3" s="1"/>
  <c r="I15" i="3" s="1"/>
  <c r="E14" i="3"/>
  <c r="F14" i="3" s="1"/>
  <c r="G14" i="3" s="1"/>
  <c r="H14" i="3" s="1"/>
  <c r="I14" i="3" s="1"/>
  <c r="F13" i="3"/>
  <c r="G13" i="3" s="1"/>
  <c r="H13" i="3" s="1"/>
  <c r="I13" i="3" s="1"/>
  <c r="E13" i="3"/>
  <c r="E12" i="3"/>
  <c r="F12" i="3" s="1"/>
  <c r="G12" i="3" s="1"/>
  <c r="H12" i="3" s="1"/>
  <c r="I12" i="3" s="1"/>
  <c r="E11" i="3"/>
  <c r="F11" i="3" s="1"/>
  <c r="G11" i="3" s="1"/>
  <c r="H11" i="3" s="1"/>
  <c r="I11" i="3" s="1"/>
  <c r="E10" i="3"/>
  <c r="F10" i="3" s="1"/>
  <c r="G10" i="3" s="1"/>
  <c r="H10" i="3" s="1"/>
  <c r="I10" i="3" s="1"/>
  <c r="E9" i="3"/>
  <c r="F9" i="3" s="1"/>
  <c r="G9" i="3" s="1"/>
  <c r="H9" i="3" s="1"/>
  <c r="I9" i="3" s="1"/>
  <c r="G8" i="3"/>
  <c r="H8" i="3" s="1"/>
  <c r="I8" i="3" s="1"/>
  <c r="F8" i="3"/>
  <c r="E8" i="3"/>
  <c r="E7" i="3"/>
  <c r="F7" i="3" s="1"/>
  <c r="G7" i="3" s="1"/>
  <c r="H7" i="3" s="1"/>
  <c r="I7" i="3" s="1"/>
  <c r="K6" i="3"/>
  <c r="E6" i="3"/>
  <c r="F6" i="3" s="1"/>
  <c r="K5" i="3"/>
  <c r="E5" i="3"/>
  <c r="F5" i="3" s="1"/>
  <c r="G5" i="3" s="1"/>
  <c r="H5" i="3" s="1"/>
  <c r="I5" i="3" s="1"/>
  <c r="K4" i="3"/>
  <c r="E4" i="3"/>
  <c r="F4" i="3" s="1"/>
  <c r="G4" i="3" l="1"/>
  <c r="H4" i="3" s="1"/>
  <c r="I4" i="3" s="1"/>
  <c r="N4" i="3"/>
  <c r="G6" i="3"/>
  <c r="H6" i="3" s="1"/>
  <c r="I6" i="3" s="1"/>
  <c r="B42" i="1" l="1"/>
  <c r="B44" i="1" s="1"/>
  <c r="D32" i="2"/>
  <c r="E13" i="1"/>
  <c r="D22" i="1" s="1"/>
  <c r="B13" i="1"/>
  <c r="C22" i="1" s="1"/>
  <c r="E20" i="2" l="1"/>
  <c r="B22" i="1"/>
  <c r="F20" i="2"/>
  <c r="D20" i="2" l="1"/>
  <c r="D34" i="2" s="1"/>
</calcChain>
</file>

<file path=xl/sharedStrings.xml><?xml version="1.0" encoding="utf-8"?>
<sst xmlns="http://schemas.openxmlformats.org/spreadsheetml/2006/main" count="128" uniqueCount="90">
  <si>
    <t xml:space="preserve">Asset </t>
  </si>
  <si>
    <t xml:space="preserve">Valuation </t>
  </si>
  <si>
    <t xml:space="preserve">Supporting Documentation </t>
  </si>
  <si>
    <t xml:space="preserve">Debt </t>
  </si>
  <si>
    <t xml:space="preserve">Value </t>
  </si>
  <si>
    <t xml:space="preserve">Company BKJV  Pty Ltd </t>
  </si>
  <si>
    <t>Tax Losses 2020 Tax Return -$5,290,000</t>
  </si>
  <si>
    <t xml:space="preserve">Bank Debt </t>
  </si>
  <si>
    <t xml:space="preserve">Nil </t>
  </si>
  <si>
    <t xml:space="preserve">Anchillary Machinery BKJV </t>
  </si>
  <si>
    <t xml:space="preserve">RHAS  Valuation </t>
  </si>
  <si>
    <t xml:space="preserve">Convertible  Notes </t>
  </si>
  <si>
    <t>Processing Plant BKJV</t>
  </si>
  <si>
    <t xml:space="preserve">Independent Valuation  Gippsland Resources </t>
  </si>
  <si>
    <t xml:space="preserve">Director Loans </t>
  </si>
  <si>
    <t xml:space="preserve">Exploration License EL 8509 </t>
  </si>
  <si>
    <t xml:space="preserve">Realisable sales Value </t>
  </si>
  <si>
    <t>Mining License ML 1617</t>
  </si>
  <si>
    <t>Realisable sales Value ( Government Bond held $517,000)</t>
  </si>
  <si>
    <t xml:space="preserve">Contained Metal Values Historical Tailings </t>
  </si>
  <si>
    <t>Sunny Silver EL 5964</t>
  </si>
  <si>
    <t xml:space="preserve">Argent Minerals Farm In deal equates the value as a commercial transaction ,
 with the $1.5M exploration commitment and a 10 % and 40 % title retention </t>
  </si>
  <si>
    <t>Sunny Silver MLA  593</t>
  </si>
  <si>
    <t xml:space="preserve">Real cash imput costs ( do date $650,000)  to acquire license  excluded 
discounted contained metal Values </t>
  </si>
  <si>
    <t xml:space="preserve">Contained Metal Values Infered JORC </t>
  </si>
  <si>
    <t xml:space="preserve">R&amp;D Company -Ecotech Assets </t>
  </si>
  <si>
    <t xml:space="preserve">IP For ecotech proceses 
•	Intellectual Property for EcoTechnology Processes
•	Registered Trademarks for EcoGold®, EcoCopper ®, EcoZinc®, EcoLead® and EcoNickel®
•	Operating a Fluid Bed Chlorination pilot plant at Gosford, NSW for project feasibility studies
•	Bench Scale EcoTech equipment for customer evaluations of all EcoTechnology Processes
</t>
  </si>
  <si>
    <t xml:space="preserve">Property  The Mines 40 hectares </t>
  </si>
  <si>
    <t xml:space="preserve">Actual Sales Transaction Value </t>
  </si>
  <si>
    <t xml:space="preserve">Mortgage Finance </t>
  </si>
  <si>
    <t xml:space="preserve">TOTAL </t>
  </si>
  <si>
    <t>DCF  Values assummed from Specialised Report Matthew Huggan 
- Contained Metal Values $491M @ 90% discount to give valuation of 10%</t>
  </si>
  <si>
    <t xml:space="preserve">Shares Issued </t>
  </si>
  <si>
    <t xml:space="preserve">Number </t>
  </si>
  <si>
    <t xml:space="preserve">Ordinary </t>
  </si>
  <si>
    <t xml:space="preserve">Founder Options </t>
  </si>
  <si>
    <t>Valuation</t>
  </si>
  <si>
    <t>Assets</t>
  </si>
  <si>
    <t>Loans</t>
  </si>
  <si>
    <t>BALANCE SHEET VALUATION</t>
  </si>
  <si>
    <t>Ordinary Shares</t>
  </si>
  <si>
    <t>Issued Founder Options</t>
  </si>
  <si>
    <t xml:space="preserve">Shares Issued after October 2023 </t>
  </si>
  <si>
    <t xml:space="preserve">Ecotech Share Exchange issue </t>
  </si>
  <si>
    <t>SUB TOTAL SHARES</t>
  </si>
  <si>
    <t xml:space="preserve">Richard Grainger </t>
  </si>
  <si>
    <t xml:space="preserve">  $0.32 cents each </t>
  </si>
  <si>
    <t xml:space="preserve">Libby Cummins -founder options </t>
  </si>
  <si>
    <t xml:space="preserve">Monty Brown - Founder Options </t>
  </si>
  <si>
    <t xml:space="preserve">Ewan Brown  Founder Options </t>
  </si>
  <si>
    <t xml:space="preserve">Graham Yates  Founder Options </t>
  </si>
  <si>
    <t xml:space="preserve">Tobia Matia  Founder Options </t>
  </si>
  <si>
    <t xml:space="preserve">$0.98 c each </t>
  </si>
  <si>
    <t xml:space="preserve">TOTAL SHARES </t>
  </si>
  <si>
    <t xml:space="preserve">Share Price </t>
  </si>
  <si>
    <t xml:space="preserve">Historicial Tails DCF  Values assummed from Specialised Report Matthew Huggan 
- Contained Metal Values $11,112,331 @ 90% discount to give valuation. 
Insitu Tailing DCF  Values assummed from Specialised Report  
- Contained Metal Values $22,224, 662 @ 90% discount to give valuation. </t>
  </si>
  <si>
    <t xml:space="preserve">Share Type </t>
  </si>
  <si>
    <t xml:space="preserve">Issued </t>
  </si>
  <si>
    <t xml:space="preserve">Notes </t>
  </si>
  <si>
    <t xml:space="preserve">  $0.32 cents each for $30,000</t>
  </si>
  <si>
    <t xml:space="preserve">  $0.32 cents each for $50,000</t>
  </si>
  <si>
    <t>$0.98 c each for $200,000</t>
  </si>
  <si>
    <t xml:space="preserve">Sale to Jimmi Mc Innis </t>
  </si>
  <si>
    <t xml:space="preserve">Need to change Founder shares -Type to dividend paid </t>
  </si>
  <si>
    <t xml:space="preserve">james Cole Group 2% of funds </t>
  </si>
  <si>
    <t>$1.6 M @ 2% value ($32,000)  shares issued @ $0.98c</t>
  </si>
  <si>
    <t xml:space="preserve">Processing Gold </t>
  </si>
  <si>
    <t>as of 20 December 2024</t>
  </si>
  <si>
    <t xml:space="preserve">Total Tonnes Ore </t>
  </si>
  <si>
    <t xml:space="preserve">Months </t>
  </si>
  <si>
    <t xml:space="preserve">Total </t>
  </si>
  <si>
    <t xml:space="preserve">Nominal Value </t>
  </si>
  <si>
    <t>Location</t>
  </si>
  <si>
    <t>In FEED MATERIAL</t>
  </si>
  <si>
    <t>KG's</t>
  </si>
  <si>
    <t xml:space="preserve">Value $A-1kg </t>
  </si>
  <si>
    <t xml:space="preserve">Processing </t>
  </si>
  <si>
    <t xml:space="preserve">Ounces </t>
  </si>
  <si>
    <t xml:space="preserve">AUD per ounce </t>
  </si>
  <si>
    <t>ML</t>
  </si>
  <si>
    <t xml:space="preserve">Plant rate /mth </t>
  </si>
  <si>
    <t xml:space="preserve">Gold Ore density </t>
  </si>
  <si>
    <t xml:space="preserve">Retention </t>
  </si>
  <si>
    <t>TOTAL gms</t>
  </si>
  <si>
    <t xml:space="preserve">Total T Ounces </t>
  </si>
  <si>
    <t>Total KG Dore</t>
  </si>
  <si>
    <t xml:space="preserve">Gold Bullion </t>
  </si>
  <si>
    <t>$A126,754</t>
  </si>
  <si>
    <t>ML1617</t>
  </si>
  <si>
    <t>ML8878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</si>
</sst>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164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5" fontId="0" fillId="0" borderId="10" xfId="0" applyNumberFormat="1" applyBorder="1" applyAlignment="1">
      <alignment horizontal="left"/>
    </xf>
    <xf numFmtId="165" fontId="0" fillId="0" borderId="10" xfId="0" applyNumberFormat="1" applyBorder="1"/>
    <xf numFmtId="0" fontId="0" fillId="0" borderId="8" xfId="0" applyBorder="1" applyAlignment="1">
      <alignment wrapText="1"/>
    </xf>
    <xf numFmtId="0" fontId="0" fillId="0" borderId="6" xfId="0" applyBorder="1" applyAlignment="1">
      <alignment vertical="center"/>
    </xf>
    <xf numFmtId="0" fontId="1" fillId="0" borderId="11" xfId="0" applyFont="1" applyBorder="1"/>
    <xf numFmtId="164" fontId="1" fillId="0" borderId="12" xfId="0" applyNumberFormat="1" applyFont="1" applyBorder="1"/>
    <xf numFmtId="0" fontId="0" fillId="0" borderId="13" xfId="0" applyBorder="1"/>
    <xf numFmtId="165" fontId="1" fillId="0" borderId="14" xfId="0" applyNumberFormat="1" applyFont="1" applyBorder="1"/>
    <xf numFmtId="3" fontId="0" fillId="0" borderId="0" xfId="0" applyNumberFormat="1"/>
    <xf numFmtId="0" fontId="0" fillId="0" borderId="7" xfId="0" applyBorder="1"/>
    <xf numFmtId="3" fontId="0" fillId="0" borderId="7" xfId="0" applyNumberFormat="1" applyBorder="1"/>
    <xf numFmtId="4" fontId="1" fillId="2" borderId="12" xfId="0" applyNumberFormat="1" applyFont="1" applyFill="1" applyBorder="1"/>
    <xf numFmtId="4" fontId="0" fillId="0" borderId="0" xfId="0" applyNumberFormat="1"/>
    <xf numFmtId="49" fontId="0" fillId="0" borderId="0" xfId="0" applyNumberFormat="1"/>
    <xf numFmtId="3" fontId="0" fillId="0" borderId="15" xfId="0" applyNumberFormat="1" applyBorder="1"/>
    <xf numFmtId="49" fontId="0" fillId="0" borderId="15" xfId="0" applyNumberFormat="1" applyBorder="1"/>
    <xf numFmtId="0" fontId="3" fillId="0" borderId="0" xfId="0" applyFont="1"/>
    <xf numFmtId="0" fontId="0" fillId="3" borderId="0" xfId="0" applyFill="1"/>
    <xf numFmtId="3" fontId="0" fillId="3" borderId="0" xfId="0" applyNumberFormat="1" applyFill="1"/>
    <xf numFmtId="164" fontId="0" fillId="3" borderId="0" xfId="0" applyNumberFormat="1" applyFill="1"/>
    <xf numFmtId="0" fontId="1" fillId="0" borderId="0" xfId="0" applyFont="1"/>
    <xf numFmtId="0" fontId="2" fillId="0" borderId="16" xfId="0" applyFont="1" applyBorder="1"/>
    <xf numFmtId="0" fontId="0" fillId="0" borderId="17" xfId="0" applyBorder="1"/>
    <xf numFmtId="2" fontId="0" fillId="0" borderId="17" xfId="0" applyNumberFormat="1" applyBorder="1"/>
    <xf numFmtId="0" fontId="0" fillId="0" borderId="18" xfId="0" applyBorder="1"/>
    <xf numFmtId="0" fontId="0" fillId="0" borderId="19" xfId="0" applyBorder="1"/>
    <xf numFmtId="2" fontId="0" fillId="0" borderId="7" xfId="0" applyNumberFormat="1" applyBorder="1"/>
    <xf numFmtId="0" fontId="0" fillId="0" borderId="20" xfId="0" applyBorder="1"/>
    <xf numFmtId="0" fontId="4" fillId="0" borderId="19" xfId="0" applyFont="1" applyBorder="1"/>
    <xf numFmtId="0" fontId="4" fillId="0" borderId="7" xfId="0" applyFont="1" applyBorder="1"/>
    <xf numFmtId="2" fontId="4" fillId="0" borderId="7" xfId="0" applyNumberFormat="1" applyFont="1" applyBorder="1"/>
    <xf numFmtId="2" fontId="4" fillId="0" borderId="20" xfId="0" applyNumberFormat="1" applyFont="1" applyBorder="1"/>
    <xf numFmtId="164" fontId="0" fillId="0" borderId="20" xfId="0" applyNumberFormat="1" applyBorder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21" xfId="0" applyBorder="1"/>
    <xf numFmtId="0" fontId="0" fillId="0" borderId="12" xfId="0" applyBorder="1"/>
    <xf numFmtId="2" fontId="0" fillId="0" borderId="12" xfId="0" applyNumberFormat="1" applyBorder="1"/>
    <xf numFmtId="164" fontId="0" fillId="0" borderId="22" xfId="0" applyNumberFormat="1" applyBorder="1"/>
    <xf numFmtId="3" fontId="0" fillId="4" borderId="7" xfId="0" applyNumberFormat="1" applyFill="1" applyBorder="1"/>
    <xf numFmtId="4" fontId="0" fillId="4" borderId="0" xfId="0" applyNumberFormat="1" applyFill="1"/>
    <xf numFmtId="4" fontId="0" fillId="4" borderId="15" xfId="0" applyNumberFormat="1" applyFill="1" applyBorder="1"/>
  </cellXfs>
  <cellStyles count="1">
    <cellStyle name="Normal" xfId="0" builtinId="0"/>
  </cellStyles>
  <dxfs count="9">
    <dxf>
      <border diagonalUp="0" diagonalDown="0"/>
    </dxf>
    <dxf>
      <border diagonalUp="0" diagonalDown="0">
        <left style="medium">
          <color indexed="64"/>
        </left>
      </border>
    </dxf>
    <dxf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CEF443E-BC19-4CDA-951C-316249148B5C}" name="Table18" displayName="Table18" ref="A1:E13" totalsRowShown="0" headerRowDxfId="8" headerRowBorderDxfId="7" tableBorderDxfId="6" totalsRowBorderDxfId="5">
  <tableColumns count="5">
    <tableColumn id="1" xr3:uid="{BE0A7677-397E-4822-B940-66C5BBE28878}" name="Asset " dataDxfId="4"/>
    <tableColumn id="2" xr3:uid="{17FFE883-9389-45C9-8569-B293926EA316}" name="Valuation " dataDxfId="3"/>
    <tableColumn id="3" xr3:uid="{F33338C1-F024-4489-AB09-05FFDB2ED8EC}" name="Supporting Documentation " dataDxfId="2"/>
    <tableColumn id="4" xr3:uid="{8080CC4A-B07D-48A6-8FA2-9CE8CB24B647}" name="Debt " dataDxfId="1"/>
    <tableColumn id="5" xr3:uid="{412EF2AD-0E84-422D-BB21-0E12E6BD27DA}" name="Value " dataDxfId="0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B98B4-2052-4AC1-ADB4-FAB6745229A2}">
  <dimension ref="A1:E46"/>
  <sheetViews>
    <sheetView tabSelected="1" workbookViewId="0">
      <selection activeCell="B42" sqref="B42"/>
    </sheetView>
  </sheetViews>
  <sheetFormatPr baseColWidth="10" defaultColWidth="8.796875" defaultRowHeight="13.8"/>
  <cols>
    <col min="1" max="1" width="38.3984375" bestFit="1" customWidth="1"/>
    <col min="2" max="2" width="13.796875" bestFit="1" customWidth="1"/>
    <col min="3" max="3" width="66.3984375" customWidth="1"/>
    <col min="4" max="4" width="17.09765625" bestFit="1" customWidth="1"/>
    <col min="5" max="5" width="10.09765625" bestFit="1" customWidth="1"/>
  </cols>
  <sheetData>
    <row r="1" spans="1:5" ht="17.399999999999999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</row>
    <row r="2" spans="1:5">
      <c r="A2" s="6" t="s">
        <v>5</v>
      </c>
      <c r="B2" s="7">
        <v>529000</v>
      </c>
      <c r="C2" s="8" t="s">
        <v>6</v>
      </c>
      <c r="D2" s="9" t="s">
        <v>7</v>
      </c>
      <c r="E2" s="10" t="s">
        <v>8</v>
      </c>
    </row>
    <row r="3" spans="1:5">
      <c r="A3" s="6" t="s">
        <v>9</v>
      </c>
      <c r="B3" s="7">
        <v>69000</v>
      </c>
      <c r="C3" s="8" t="s">
        <v>10</v>
      </c>
      <c r="D3" s="9" t="s">
        <v>11</v>
      </c>
      <c r="E3" s="11">
        <v>340000</v>
      </c>
    </row>
    <row r="4" spans="1:5">
      <c r="A4" s="6" t="s">
        <v>12</v>
      </c>
      <c r="B4" s="7">
        <v>4000000</v>
      </c>
      <c r="C4" s="8" t="s">
        <v>13</v>
      </c>
      <c r="D4" s="9" t="s">
        <v>14</v>
      </c>
      <c r="E4" s="11">
        <v>360000</v>
      </c>
    </row>
    <row r="5" spans="1:5">
      <c r="A5" s="6" t="s">
        <v>15</v>
      </c>
      <c r="B5" s="7">
        <v>400000</v>
      </c>
      <c r="C5" s="8" t="s">
        <v>16</v>
      </c>
      <c r="D5" s="9"/>
      <c r="E5" s="12"/>
    </row>
    <row r="6" spans="1:5">
      <c r="A6" s="6" t="s">
        <v>17</v>
      </c>
      <c r="B6" s="7">
        <v>500000</v>
      </c>
      <c r="C6" s="8" t="s">
        <v>18</v>
      </c>
      <c r="D6" s="9"/>
      <c r="E6" s="12"/>
    </row>
    <row r="7" spans="1:5" ht="55.8" customHeight="1">
      <c r="A7" s="6" t="s">
        <v>19</v>
      </c>
      <c r="B7" s="7">
        <v>3333669</v>
      </c>
      <c r="C7" s="13" t="s">
        <v>55</v>
      </c>
      <c r="D7" s="9"/>
      <c r="E7" s="12"/>
    </row>
    <row r="8" spans="1:5" ht="49.8" customHeight="1">
      <c r="A8" s="6" t="s">
        <v>20</v>
      </c>
      <c r="B8" s="7">
        <v>500000</v>
      </c>
      <c r="C8" s="13" t="s">
        <v>21</v>
      </c>
      <c r="D8" s="9"/>
      <c r="E8" s="12"/>
    </row>
    <row r="9" spans="1:5" ht="45.6" customHeight="1">
      <c r="A9" s="6" t="s">
        <v>22</v>
      </c>
      <c r="B9" s="7">
        <v>400000</v>
      </c>
      <c r="C9" s="13" t="s">
        <v>23</v>
      </c>
      <c r="D9" s="9"/>
      <c r="E9" s="12"/>
    </row>
    <row r="10" spans="1:5" ht="53.4" customHeight="1">
      <c r="A10" s="6" t="s">
        <v>24</v>
      </c>
      <c r="B10" s="7">
        <v>49126983</v>
      </c>
      <c r="C10" s="13" t="s">
        <v>31</v>
      </c>
      <c r="D10" s="9"/>
      <c r="E10" s="12"/>
    </row>
    <row r="11" spans="1:5" ht="98.4" customHeight="1">
      <c r="A11" s="14" t="s">
        <v>25</v>
      </c>
      <c r="B11" s="7">
        <v>3500000</v>
      </c>
      <c r="C11" s="13" t="s">
        <v>26</v>
      </c>
      <c r="D11" s="9"/>
      <c r="E11" s="12"/>
    </row>
    <row r="12" spans="1:5">
      <c r="A12" s="6" t="s">
        <v>27</v>
      </c>
      <c r="B12" s="7">
        <v>560000</v>
      </c>
      <c r="C12" s="8" t="s">
        <v>28</v>
      </c>
      <c r="D12" s="9" t="s">
        <v>29</v>
      </c>
      <c r="E12" s="12">
        <v>440000</v>
      </c>
    </row>
    <row r="13" spans="1:5" ht="14.4" thickBot="1">
      <c r="A13" s="15" t="s">
        <v>30</v>
      </c>
      <c r="B13" s="16">
        <f>SUM(B2:B12)</f>
        <v>62918652</v>
      </c>
      <c r="C13" s="8"/>
      <c r="D13" s="17"/>
      <c r="E13" s="18">
        <f>SUBTOTAL(109,E2:E12)</f>
        <v>1140000</v>
      </c>
    </row>
    <row r="14" spans="1:5" ht="14.4" thickTop="1"/>
    <row r="17" spans="1:4">
      <c r="A17" s="20" t="s">
        <v>32</v>
      </c>
      <c r="B17" s="20" t="s">
        <v>33</v>
      </c>
      <c r="C17" s="20" t="s">
        <v>32</v>
      </c>
      <c r="D17" s="20" t="s">
        <v>33</v>
      </c>
    </row>
    <row r="18" spans="1:4">
      <c r="A18" s="20" t="s">
        <v>34</v>
      </c>
      <c r="B18" s="21">
        <v>20333120</v>
      </c>
      <c r="C18" s="20" t="s">
        <v>34</v>
      </c>
      <c r="D18" s="21">
        <v>28379097</v>
      </c>
    </row>
    <row r="19" spans="1:4">
      <c r="A19" s="20" t="s">
        <v>35</v>
      </c>
      <c r="B19" s="21">
        <v>25996000</v>
      </c>
      <c r="C19" s="20" t="s">
        <v>35</v>
      </c>
      <c r="D19" s="21">
        <v>259960008</v>
      </c>
    </row>
    <row r="20" spans="1:4">
      <c r="A20" s="20"/>
      <c r="B20" s="21">
        <v>8045977</v>
      </c>
      <c r="C20" s="20" t="s">
        <v>30</v>
      </c>
      <c r="D20" s="21">
        <v>54375097</v>
      </c>
    </row>
    <row r="21" spans="1:4">
      <c r="A21" s="20" t="s">
        <v>30</v>
      </c>
      <c r="B21" s="51">
        <v>54375097</v>
      </c>
      <c r="C21" s="20"/>
      <c r="D21" s="20"/>
    </row>
    <row r="22" spans="1:4" ht="14.4" thickBot="1">
      <c r="A22" t="s">
        <v>39</v>
      </c>
      <c r="B22" s="22">
        <f>C22-D22</f>
        <v>61778652</v>
      </c>
      <c r="C22" s="23">
        <f>B13</f>
        <v>62918652</v>
      </c>
      <c r="D22" s="23">
        <f>E13</f>
        <v>1140000</v>
      </c>
    </row>
    <row r="23" spans="1:4" ht="14.4" thickTop="1"/>
    <row r="29" spans="1:4" ht="22.8">
      <c r="A29" s="27" t="s">
        <v>56</v>
      </c>
      <c r="B29" s="27" t="s">
        <v>57</v>
      </c>
      <c r="C29" s="27" t="s">
        <v>58</v>
      </c>
    </row>
    <row r="30" spans="1:4">
      <c r="A30" t="s">
        <v>40</v>
      </c>
      <c r="B30" s="23">
        <v>20333120</v>
      </c>
      <c r="C30" s="23"/>
      <c r="D30" s="23"/>
    </row>
    <row r="31" spans="1:4">
      <c r="A31" t="s">
        <v>41</v>
      </c>
      <c r="B31" s="23">
        <v>9629800</v>
      </c>
      <c r="C31" s="23"/>
      <c r="D31" s="23"/>
    </row>
    <row r="32" spans="1:4">
      <c r="A32" t="s">
        <v>43</v>
      </c>
      <c r="B32" s="23">
        <v>8045977</v>
      </c>
      <c r="C32" s="23"/>
      <c r="D32" s="23"/>
    </row>
    <row r="33" spans="1:3">
      <c r="A33" t="s">
        <v>44</v>
      </c>
    </row>
    <row r="34" spans="1:3">
      <c r="A34" s="31" t="s">
        <v>42</v>
      </c>
    </row>
    <row r="35" spans="1:3">
      <c r="A35" s="19" t="s">
        <v>45</v>
      </c>
      <c r="B35" s="23">
        <v>26200</v>
      </c>
      <c r="C35" t="s">
        <v>62</v>
      </c>
    </row>
    <row r="36" spans="1:3">
      <c r="A36" s="19" t="s">
        <v>64</v>
      </c>
      <c r="B36" s="23">
        <v>32653</v>
      </c>
      <c r="C36" t="s">
        <v>65</v>
      </c>
    </row>
    <row r="37" spans="1:3">
      <c r="A37" t="s">
        <v>47</v>
      </c>
      <c r="B37" s="23">
        <v>93750</v>
      </c>
      <c r="C37" t="s">
        <v>59</v>
      </c>
    </row>
    <row r="38" spans="1:3">
      <c r="A38" s="19" t="s">
        <v>48</v>
      </c>
      <c r="B38" s="23">
        <v>156250</v>
      </c>
      <c r="C38" t="s">
        <v>60</v>
      </c>
    </row>
    <row r="39" spans="1:3">
      <c r="A39" t="s">
        <v>49</v>
      </c>
      <c r="B39" s="23">
        <v>156250</v>
      </c>
      <c r="C39" t="s">
        <v>60</v>
      </c>
    </row>
    <row r="40" spans="1:3">
      <c r="A40" s="19" t="s">
        <v>50</v>
      </c>
      <c r="B40" s="23">
        <v>204082</v>
      </c>
      <c r="C40" s="24" t="s">
        <v>61</v>
      </c>
    </row>
    <row r="41" spans="1:3">
      <c r="A41" s="19" t="s">
        <v>51</v>
      </c>
      <c r="B41" s="23">
        <v>204082</v>
      </c>
      <c r="C41" s="24" t="s">
        <v>61</v>
      </c>
    </row>
    <row r="42" spans="1:3" ht="14.4" thickBot="1">
      <c r="A42" s="25" t="s">
        <v>53</v>
      </c>
      <c r="B42" s="53">
        <f>SUM(B30:B41)</f>
        <v>38882164</v>
      </c>
      <c r="C42" s="26"/>
    </row>
    <row r="43" spans="1:3">
      <c r="A43" s="28"/>
      <c r="B43" s="28"/>
    </row>
    <row r="44" spans="1:3">
      <c r="A44" s="29" t="s">
        <v>54</v>
      </c>
      <c r="B44" s="30">
        <f>B22/B42</f>
        <v>1.5888686648201988</v>
      </c>
    </row>
    <row r="46" spans="1:3">
      <c r="C46" t="s">
        <v>63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EDBE-7495-4AA0-AB24-3F6AEE14198B}">
  <dimension ref="A1:N18"/>
  <sheetViews>
    <sheetView workbookViewId="0">
      <selection activeCell="K14" sqref="K14"/>
    </sheetView>
  </sheetViews>
  <sheetFormatPr baseColWidth="10" defaultColWidth="8.796875" defaultRowHeight="13.8"/>
  <cols>
    <col min="4" max="4" width="11" customWidth="1"/>
    <col min="5" max="5" width="10.8984375" bestFit="1" customWidth="1"/>
    <col min="6" max="6" width="15" bestFit="1" customWidth="1"/>
    <col min="7" max="7" width="13.59765625" bestFit="1" customWidth="1"/>
    <col min="9" max="9" width="19.69921875" customWidth="1"/>
    <col min="10" max="10" width="14.796875" bestFit="1" customWidth="1"/>
    <col min="11" max="11" width="10.19921875" bestFit="1" customWidth="1"/>
    <col min="14" max="14" width="14.796875" bestFit="1" customWidth="1"/>
  </cols>
  <sheetData>
    <row r="1" spans="1:14" ht="18" thickTop="1">
      <c r="B1" s="32" t="s">
        <v>66</v>
      </c>
      <c r="C1" s="33"/>
      <c r="D1" s="33" t="s">
        <v>67</v>
      </c>
      <c r="E1" s="33"/>
      <c r="F1" s="34"/>
      <c r="G1" s="34"/>
      <c r="H1" s="34"/>
      <c r="I1" s="35"/>
      <c r="J1" t="s">
        <v>68</v>
      </c>
      <c r="K1" t="s">
        <v>69</v>
      </c>
      <c r="L1" t="s">
        <v>70</v>
      </c>
      <c r="M1" t="s">
        <v>71</v>
      </c>
      <c r="N1" t="s">
        <v>70</v>
      </c>
    </row>
    <row r="2" spans="1:14">
      <c r="A2" t="s">
        <v>72</v>
      </c>
      <c r="B2" s="36" t="s">
        <v>73</v>
      </c>
      <c r="C2" s="20"/>
      <c r="D2" s="20"/>
      <c r="E2" s="20"/>
      <c r="F2" s="37"/>
      <c r="G2" s="37"/>
      <c r="H2" s="37" t="s">
        <v>74</v>
      </c>
      <c r="I2" s="38" t="s">
        <v>75</v>
      </c>
      <c r="K2" t="s">
        <v>76</v>
      </c>
      <c r="L2" t="s">
        <v>77</v>
      </c>
      <c r="M2" t="s">
        <v>78</v>
      </c>
      <c r="N2" t="s">
        <v>4</v>
      </c>
    </row>
    <row r="3" spans="1:14" ht="15.6">
      <c r="A3" t="s">
        <v>79</v>
      </c>
      <c r="B3" s="39" t="s">
        <v>80</v>
      </c>
      <c r="C3" s="40" t="s">
        <v>81</v>
      </c>
      <c r="D3" s="40" t="s">
        <v>82</v>
      </c>
      <c r="E3" s="40" t="s">
        <v>83</v>
      </c>
      <c r="F3" s="41" t="s">
        <v>84</v>
      </c>
      <c r="G3" s="41" t="s">
        <v>85</v>
      </c>
      <c r="H3" s="41" t="s">
        <v>86</v>
      </c>
      <c r="I3" s="42" t="s">
        <v>87</v>
      </c>
    </row>
    <row r="4" spans="1:14">
      <c r="A4" t="s">
        <v>88</v>
      </c>
      <c r="B4" s="36">
        <v>6000</v>
      </c>
      <c r="C4" s="20">
        <v>4</v>
      </c>
      <c r="D4" s="20">
        <v>0.8</v>
      </c>
      <c r="E4" s="20">
        <f>SUM(B4*C4)*D4</f>
        <v>19200</v>
      </c>
      <c r="F4" s="37">
        <f>E4/31.1</f>
        <v>617.36334405144692</v>
      </c>
      <c r="G4" s="37">
        <f>F4/32.15</f>
        <v>19.202592349967244</v>
      </c>
      <c r="H4" s="37">
        <f>G4*0.95</f>
        <v>18.24246273246888</v>
      </c>
      <c r="I4" s="43">
        <f>H4*126754</f>
        <v>2312305.1211913605</v>
      </c>
      <c r="J4">
        <v>30000</v>
      </c>
      <c r="K4">
        <f>J4/B4</f>
        <v>5</v>
      </c>
      <c r="L4" s="44">
        <v>617</v>
      </c>
      <c r="M4">
        <v>5200</v>
      </c>
      <c r="N4" s="45">
        <f>M4*L4</f>
        <v>3208400</v>
      </c>
    </row>
    <row r="5" spans="1:14">
      <c r="A5" t="s">
        <v>88</v>
      </c>
      <c r="B5" s="36">
        <v>8000</v>
      </c>
      <c r="C5" s="20">
        <v>0.5</v>
      </c>
      <c r="D5" s="20">
        <v>0.8</v>
      </c>
      <c r="E5" s="20">
        <f>SUM(B5*C5)*D5</f>
        <v>3200</v>
      </c>
      <c r="F5" s="37">
        <f>E5/31.1</f>
        <v>102.89389067524115</v>
      </c>
      <c r="G5" s="37">
        <f>F5/32.15</f>
        <v>3.2004320583278743</v>
      </c>
      <c r="H5" s="37">
        <f>G5*0.95</f>
        <v>3.0404104554114806</v>
      </c>
      <c r="I5" s="43">
        <f>H5*126754</f>
        <v>385384.18686522683</v>
      </c>
      <c r="J5">
        <v>270000</v>
      </c>
      <c r="K5">
        <f>J5/B5</f>
        <v>33.75</v>
      </c>
      <c r="L5" s="44">
        <v>3472</v>
      </c>
      <c r="M5">
        <v>5200</v>
      </c>
      <c r="N5" s="45">
        <f t="shared" ref="N5:N6" si="0">M5*L5</f>
        <v>18054400</v>
      </c>
    </row>
    <row r="6" spans="1:14">
      <c r="A6" t="s">
        <v>89</v>
      </c>
      <c r="B6" s="36">
        <v>6000</v>
      </c>
      <c r="C6" s="20">
        <v>0.48</v>
      </c>
      <c r="D6" s="20">
        <v>0.8</v>
      </c>
      <c r="E6" s="20">
        <f t="shared" ref="E6:E17" si="1">SUM(B6*C6)*D6</f>
        <v>2304</v>
      </c>
      <c r="F6" s="37">
        <f t="shared" ref="F6:F17" si="2">E6/31.1</f>
        <v>74.083601286173632</v>
      </c>
      <c r="G6" s="37">
        <f t="shared" ref="G6:G17" si="3">F6/32.15</f>
        <v>2.3043110819960697</v>
      </c>
      <c r="H6" s="37">
        <f t="shared" ref="H6:H17" si="4">G6*0.95</f>
        <v>2.1890955278962663</v>
      </c>
      <c r="I6" s="43">
        <f t="shared" ref="I6:I17" si="5">H6*126754</f>
        <v>277476.61454296333</v>
      </c>
      <c r="J6">
        <v>1561300</v>
      </c>
      <c r="K6" s="46">
        <f>J6/B6</f>
        <v>260.21666666666664</v>
      </c>
      <c r="L6" s="44">
        <v>19277</v>
      </c>
      <c r="M6">
        <v>5200</v>
      </c>
      <c r="N6" s="45">
        <f t="shared" si="0"/>
        <v>100240400</v>
      </c>
    </row>
    <row r="7" spans="1:14">
      <c r="B7" s="36">
        <v>8000</v>
      </c>
      <c r="C7" s="20">
        <v>4.5</v>
      </c>
      <c r="D7" s="20">
        <v>0.8</v>
      </c>
      <c r="E7" s="20">
        <f t="shared" si="1"/>
        <v>28800</v>
      </c>
      <c r="F7" s="37">
        <f t="shared" si="2"/>
        <v>926.04501607717043</v>
      </c>
      <c r="G7" s="37">
        <f t="shared" si="3"/>
        <v>28.803888524950871</v>
      </c>
      <c r="H7" s="37">
        <f t="shared" si="4"/>
        <v>27.363694098703327</v>
      </c>
      <c r="I7" s="43">
        <f t="shared" si="5"/>
        <v>3468457.6817870415</v>
      </c>
    </row>
    <row r="8" spans="1:14">
      <c r="B8" s="36">
        <v>8000</v>
      </c>
      <c r="C8" s="20">
        <v>5</v>
      </c>
      <c r="D8" s="20">
        <v>0.8</v>
      </c>
      <c r="E8" s="20">
        <f t="shared" si="1"/>
        <v>32000</v>
      </c>
      <c r="F8" s="37">
        <f t="shared" si="2"/>
        <v>1028.9389067524116</v>
      </c>
      <c r="G8" s="37">
        <f t="shared" si="3"/>
        <v>32.004320583278748</v>
      </c>
      <c r="H8" s="37">
        <f t="shared" si="4"/>
        <v>30.404104554114809</v>
      </c>
      <c r="I8" s="43">
        <f t="shared" si="5"/>
        <v>3853841.8686522688</v>
      </c>
    </row>
    <row r="9" spans="1:14">
      <c r="B9" s="36">
        <v>8000</v>
      </c>
      <c r="C9" s="20">
        <v>6</v>
      </c>
      <c r="D9" s="20">
        <v>0.8</v>
      </c>
      <c r="E9" s="20">
        <f t="shared" si="1"/>
        <v>38400</v>
      </c>
      <c r="F9" s="37">
        <f t="shared" si="2"/>
        <v>1234.7266881028938</v>
      </c>
      <c r="G9" s="37">
        <f t="shared" si="3"/>
        <v>38.405184699934487</v>
      </c>
      <c r="H9" s="37">
        <f t="shared" si="4"/>
        <v>36.48492546493776</v>
      </c>
      <c r="I9" s="43">
        <f t="shared" si="5"/>
        <v>4624610.242382721</v>
      </c>
    </row>
    <row r="10" spans="1:14">
      <c r="B10" s="36">
        <v>8000</v>
      </c>
      <c r="C10" s="20">
        <v>0.6</v>
      </c>
      <c r="D10" s="20">
        <v>0.8</v>
      </c>
      <c r="E10" s="20">
        <f t="shared" si="1"/>
        <v>3840</v>
      </c>
      <c r="F10" s="37">
        <f t="shared" si="2"/>
        <v>123.47266881028938</v>
      </c>
      <c r="G10" s="37">
        <f t="shared" si="3"/>
        <v>3.8405184699934489</v>
      </c>
      <c r="H10" s="37">
        <f t="shared" si="4"/>
        <v>3.6484925464937765</v>
      </c>
      <c r="I10" s="43">
        <f t="shared" si="5"/>
        <v>462461.02423827216</v>
      </c>
    </row>
    <row r="11" spans="1:14">
      <c r="B11" s="36">
        <v>8000</v>
      </c>
      <c r="C11" s="20"/>
      <c r="D11" s="20">
        <v>0.8</v>
      </c>
      <c r="E11" s="20">
        <f t="shared" si="1"/>
        <v>0</v>
      </c>
      <c r="F11" s="37">
        <f t="shared" si="2"/>
        <v>0</v>
      </c>
      <c r="G11" s="37">
        <f t="shared" si="3"/>
        <v>0</v>
      </c>
      <c r="H11" s="37">
        <f t="shared" si="4"/>
        <v>0</v>
      </c>
      <c r="I11" s="43">
        <f t="shared" si="5"/>
        <v>0</v>
      </c>
    </row>
    <row r="12" spans="1:14">
      <c r="B12" s="36">
        <v>8000</v>
      </c>
      <c r="C12" s="20"/>
      <c r="D12" s="20">
        <v>0.8</v>
      </c>
      <c r="E12" s="20">
        <f t="shared" si="1"/>
        <v>0</v>
      </c>
      <c r="F12" s="37">
        <f t="shared" si="2"/>
        <v>0</v>
      </c>
      <c r="G12" s="37">
        <f t="shared" si="3"/>
        <v>0</v>
      </c>
      <c r="H12" s="37">
        <f t="shared" si="4"/>
        <v>0</v>
      </c>
      <c r="I12" s="43">
        <f t="shared" si="5"/>
        <v>0</v>
      </c>
    </row>
    <row r="13" spans="1:14">
      <c r="B13" s="36">
        <v>8000</v>
      </c>
      <c r="C13" s="20"/>
      <c r="D13" s="20">
        <v>0.8</v>
      </c>
      <c r="E13" s="20">
        <f t="shared" si="1"/>
        <v>0</v>
      </c>
      <c r="F13" s="37">
        <f t="shared" si="2"/>
        <v>0</v>
      </c>
      <c r="G13" s="37">
        <f t="shared" si="3"/>
        <v>0</v>
      </c>
      <c r="H13" s="37">
        <f t="shared" si="4"/>
        <v>0</v>
      </c>
      <c r="I13" s="43">
        <f t="shared" si="5"/>
        <v>0</v>
      </c>
    </row>
    <row r="14" spans="1:14">
      <c r="B14" s="36">
        <v>8000</v>
      </c>
      <c r="C14" s="20"/>
      <c r="D14" s="20">
        <v>0.8</v>
      </c>
      <c r="E14" s="20">
        <f t="shared" si="1"/>
        <v>0</v>
      </c>
      <c r="F14" s="37">
        <f t="shared" si="2"/>
        <v>0</v>
      </c>
      <c r="G14" s="37">
        <f t="shared" si="3"/>
        <v>0</v>
      </c>
      <c r="H14" s="37">
        <f t="shared" si="4"/>
        <v>0</v>
      </c>
      <c r="I14" s="43">
        <f t="shared" si="5"/>
        <v>0</v>
      </c>
    </row>
    <row r="15" spans="1:14">
      <c r="B15" s="36">
        <v>8000</v>
      </c>
      <c r="C15" s="20"/>
      <c r="D15" s="20">
        <v>0.8</v>
      </c>
      <c r="E15" s="20">
        <f t="shared" si="1"/>
        <v>0</v>
      </c>
      <c r="F15" s="37">
        <f t="shared" si="2"/>
        <v>0</v>
      </c>
      <c r="G15" s="37">
        <f t="shared" si="3"/>
        <v>0</v>
      </c>
      <c r="H15" s="37">
        <f t="shared" si="4"/>
        <v>0</v>
      </c>
      <c r="I15" s="43">
        <f t="shared" si="5"/>
        <v>0</v>
      </c>
    </row>
    <row r="16" spans="1:14">
      <c r="B16" s="36">
        <v>8000</v>
      </c>
      <c r="C16" s="20"/>
      <c r="D16" s="20">
        <v>0.8</v>
      </c>
      <c r="E16" s="20">
        <f t="shared" si="1"/>
        <v>0</v>
      </c>
      <c r="F16" s="37">
        <f t="shared" si="2"/>
        <v>0</v>
      </c>
      <c r="G16" s="37">
        <f t="shared" si="3"/>
        <v>0</v>
      </c>
      <c r="H16" s="37">
        <f t="shared" si="4"/>
        <v>0</v>
      </c>
      <c r="I16" s="43">
        <f t="shared" si="5"/>
        <v>0</v>
      </c>
    </row>
    <row r="17" spans="2:9" ht="14.4" thickBot="1">
      <c r="B17" s="47">
        <v>8000</v>
      </c>
      <c r="C17" s="48"/>
      <c r="D17" s="48">
        <v>0.8</v>
      </c>
      <c r="E17" s="48">
        <f t="shared" si="1"/>
        <v>0</v>
      </c>
      <c r="F17" s="49">
        <f t="shared" si="2"/>
        <v>0</v>
      </c>
      <c r="G17" s="49">
        <f t="shared" si="3"/>
        <v>0</v>
      </c>
      <c r="H17" s="49">
        <f t="shared" si="4"/>
        <v>0</v>
      </c>
      <c r="I17" s="50">
        <f t="shared" si="5"/>
        <v>0</v>
      </c>
    </row>
    <row r="18" spans="2:9" ht="14.4" thickTop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5EF60-4AD9-4374-8751-A6AF064C9AAD}">
  <dimension ref="C8:F34"/>
  <sheetViews>
    <sheetView topLeftCell="A13" workbookViewId="0">
      <selection activeCell="D32" sqref="D32"/>
    </sheetView>
  </sheetViews>
  <sheetFormatPr baseColWidth="10" defaultColWidth="8.796875" defaultRowHeight="13.8"/>
  <cols>
    <col min="3" max="3" width="39.8984375" bestFit="1" customWidth="1"/>
    <col min="4" max="4" width="25.69921875" customWidth="1"/>
    <col min="5" max="5" width="23.69921875" customWidth="1"/>
    <col min="6" max="6" width="14.296875" customWidth="1"/>
  </cols>
  <sheetData>
    <row r="8" spans="3:6">
      <c r="C8" s="20" t="s">
        <v>32</v>
      </c>
      <c r="D8" s="20" t="s">
        <v>33</v>
      </c>
      <c r="E8" s="20" t="s">
        <v>32</v>
      </c>
      <c r="F8" s="20" t="s">
        <v>33</v>
      </c>
    </row>
    <row r="9" spans="3:6">
      <c r="C9" s="20" t="s">
        <v>34</v>
      </c>
      <c r="D9" s="21">
        <v>20333120</v>
      </c>
      <c r="E9" s="20" t="s">
        <v>34</v>
      </c>
      <c r="F9" s="21">
        <v>28379097</v>
      </c>
    </row>
    <row r="10" spans="3:6">
      <c r="C10" s="20" t="s">
        <v>35</v>
      </c>
      <c r="D10" s="21">
        <v>25996000</v>
      </c>
      <c r="E10" s="20" t="s">
        <v>35</v>
      </c>
      <c r="F10" s="21">
        <v>259960008</v>
      </c>
    </row>
    <row r="11" spans="3:6">
      <c r="C11" s="20"/>
      <c r="D11" s="21">
        <v>8045977</v>
      </c>
      <c r="E11" s="20" t="s">
        <v>30</v>
      </c>
      <c r="F11" s="21">
        <v>54375097</v>
      </c>
    </row>
    <row r="12" spans="3:6">
      <c r="C12" s="20" t="s">
        <v>30</v>
      </c>
      <c r="D12" s="21">
        <v>54375097</v>
      </c>
      <c r="E12" s="20"/>
      <c r="F12" s="20"/>
    </row>
    <row r="19" spans="3:6">
      <c r="D19" t="s">
        <v>36</v>
      </c>
      <c r="E19" t="s">
        <v>37</v>
      </c>
      <c r="F19" t="s">
        <v>38</v>
      </c>
    </row>
    <row r="20" spans="3:6" ht="14.4" thickBot="1">
      <c r="C20" t="s">
        <v>39</v>
      </c>
      <c r="D20" s="22">
        <f>E20-F20</f>
        <v>61778652</v>
      </c>
      <c r="E20" s="23">
        <f>'Valuation '!B13</f>
        <v>62918652</v>
      </c>
      <c r="F20" s="23">
        <f>'Valuation '!E13</f>
        <v>1140000</v>
      </c>
    </row>
    <row r="21" spans="3:6" ht="14.4" thickTop="1">
      <c r="C21" t="s">
        <v>40</v>
      </c>
      <c r="D21" s="23">
        <v>20333120</v>
      </c>
      <c r="E21" s="23"/>
      <c r="F21" s="23"/>
    </row>
    <row r="22" spans="3:6">
      <c r="C22" t="s">
        <v>41</v>
      </c>
      <c r="D22" s="23">
        <v>9629800</v>
      </c>
      <c r="E22" s="23"/>
      <c r="F22" s="23"/>
    </row>
    <row r="23" spans="3:6">
      <c r="C23" t="s">
        <v>43</v>
      </c>
      <c r="D23" s="23">
        <v>8045977</v>
      </c>
      <c r="E23" s="23"/>
      <c r="F23" s="23"/>
    </row>
    <row r="24" spans="3:6">
      <c r="C24" t="s">
        <v>44</v>
      </c>
    </row>
    <row r="25" spans="3:6">
      <c r="C25" t="s">
        <v>42</v>
      </c>
    </row>
    <row r="26" spans="3:6">
      <c r="C26" s="19" t="s">
        <v>45</v>
      </c>
      <c r="D26" s="23">
        <v>26200</v>
      </c>
    </row>
    <row r="27" spans="3:6">
      <c r="C27" t="s">
        <v>47</v>
      </c>
      <c r="D27" s="23">
        <v>93750</v>
      </c>
      <c r="E27" t="s">
        <v>46</v>
      </c>
    </row>
    <row r="28" spans="3:6">
      <c r="C28" s="19" t="s">
        <v>48</v>
      </c>
      <c r="D28" s="23">
        <v>156250</v>
      </c>
      <c r="E28" t="s">
        <v>46</v>
      </c>
    </row>
    <row r="29" spans="3:6">
      <c r="C29" t="s">
        <v>49</v>
      </c>
      <c r="D29" s="23">
        <v>156250</v>
      </c>
      <c r="E29" t="s">
        <v>46</v>
      </c>
    </row>
    <row r="30" spans="3:6">
      <c r="C30" s="19" t="s">
        <v>50</v>
      </c>
      <c r="D30" s="23">
        <v>204082</v>
      </c>
      <c r="E30" s="24" t="s">
        <v>52</v>
      </c>
    </row>
    <row r="31" spans="3:6">
      <c r="C31" s="19" t="s">
        <v>51</v>
      </c>
      <c r="D31" s="23">
        <v>204082</v>
      </c>
      <c r="E31" s="24" t="s">
        <v>52</v>
      </c>
    </row>
    <row r="32" spans="3:6">
      <c r="C32" s="19" t="s">
        <v>53</v>
      </c>
      <c r="D32" s="52">
        <f>SUM(D21:D31)</f>
        <v>38849511</v>
      </c>
      <c r="E32" s="24"/>
    </row>
    <row r="34" spans="3:4">
      <c r="C34" s="19" t="s">
        <v>54</v>
      </c>
      <c r="D34">
        <f>D20/D32</f>
        <v>1.5902041083605918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Valuation </vt:lpstr>
      <vt:lpstr>Gold Production </vt:lpstr>
      <vt:lpstr>Shares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Daryl Young - BK Enterprises</dc:creator>
  <cp:lastModifiedBy>User</cp:lastModifiedBy>
  <dcterms:created xsi:type="dcterms:W3CDTF">2025-07-12T05:18:40Z</dcterms:created>
  <dcterms:modified xsi:type="dcterms:W3CDTF">2025-08-25T15:22:22Z</dcterms:modified>
</cp:coreProperties>
</file>